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ates" sheetId="2" state="visible" r:id="rId2"/>
    <sheet xmlns:r="http://schemas.openxmlformats.org/officeDocument/2006/relationships" name="Calculator" sheetId="3" state="visible" r:id="rId3"/>
    <sheet xmlns:r="http://schemas.openxmlformats.org/officeDocument/2006/relationships" name="Team 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£#,##0.00"/>
  </numFmts>
  <fonts count="6">
    <font>
      <name val="Calibri"/>
      <family val="2"/>
      <color theme="1"/>
      <sz val="11"/>
      <scheme val="minor"/>
    </font>
    <font>
      <b val="1"/>
      <color rgb="001F3B7A"/>
      <sz val="14"/>
    </font>
    <font>
      <b val="1"/>
      <color rgb="001F3B7A"/>
    </font>
    <font>
      <b val="1"/>
      <color rgb="00FFFFFF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F3B7A"/>
      </patternFill>
    </fill>
    <fill>
      <patternFill patternType="solid">
        <fgColor rgb="00FFF3C4"/>
      </patternFill>
    </fill>
    <fill>
      <patternFill patternType="solid">
        <fgColor rgb="00E3F2E9"/>
      </patternFill>
    </fill>
  </fills>
  <borders count="2">
    <border>
      <left/>
      <right/>
      <top/>
      <bottom/>
      <diagonal/>
    </border>
    <border>
      <left style="thin">
        <color rgb="00BFC9DA"/>
      </left>
      <right style="thin">
        <color rgb="00BFC9DA"/>
      </right>
      <top style="thin">
        <color rgb="00BFC9DA"/>
      </top>
      <bottom style="thin">
        <color rgb="00BFC9D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1" pivotButton="0" quotePrefix="0" xfId="0"/>
    <xf numFmtId="0" fontId="0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0" fontId="2" fillId="0" borderId="0" pivotButton="0" quotePrefix="0" xfId="0"/>
    <xf numFmtId="165" fontId="4" fillId="3" borderId="1" pivotButton="0" quotePrefix="0" xfId="0"/>
    <xf numFmtId="164" fontId="4" fillId="3" borderId="1" pivotButton="0" quotePrefix="0" xfId="0"/>
    <xf numFmtId="165" fontId="0" fillId="0" borderId="1" pivotButton="0" quotePrefix="0" xfId="0"/>
    <xf numFmtId="165" fontId="5" fillId="4" borderId="1" pivotButton="0" quotePrefix="0" xfId="0"/>
    <xf numFmtId="164" fontId="5" fillId="4" borderId="1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pivotButton="0" quotePrefix="0" xfId="0"/>
    <xf numFmtId="164" fontId="0" fillId="3" borderId="1" pivotButton="0" quotePrefix="0" xfId="0"/>
    <xf numFmtId="0" fontId="3" fillId="2" borderId="0" pivotButton="0" quotePrefix="0" xfId="0"/>
    <xf numFmtId="0" fontId="0" fillId="2" borderId="0" pivotButton="0" quotePrefix="0" xfId="0"/>
    <xf numFmtId="165" fontId="3" fillId="2" borderId="1" pivotButton="0" quotePrefix="0" xfId="0"/>
    <xf numFmtId="1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UK Take Home Pay Calculator (salary calculator), tax year 2026/27</t>
        </is>
      </c>
    </row>
    <row r="2">
      <c r="A2" s="2" t="inlineStr"/>
    </row>
    <row r="3">
      <c r="A3" s="3" t="inlineStr">
        <is>
          <t>WHAT THIS DOES</t>
        </is>
      </c>
    </row>
    <row r="4">
      <c r="A4" s="2" t="inlineStr">
        <is>
          <t>Turns an annual gross salary into take home pay after income tax, employee National Insurance</t>
        </is>
      </c>
    </row>
    <row r="5">
      <c r="A5" s="2" t="inlineStr">
        <is>
          <t>and a salary sacrifice pension contribution. It shows the year, month and week figures and every</t>
        </is>
      </c>
    </row>
    <row r="6">
      <c r="A6" s="2" t="inlineStr">
        <is>
          <t>step of the working, so you can see exactly where the money went.</t>
        </is>
      </c>
    </row>
    <row r="7">
      <c r="A7" s="2" t="inlineStr"/>
    </row>
    <row r="8">
      <c r="A8" s="3" t="inlineStr">
        <is>
          <t>HOW TO USE IT</t>
        </is>
      </c>
    </row>
    <row r="9">
      <c r="A9" s="2" t="inlineStr">
        <is>
          <t>1. Open the Calculator tab. Yellow cells are the only ones you type in.</t>
        </is>
      </c>
    </row>
    <row r="10">
      <c r="A10" s="2" t="inlineStr">
        <is>
          <t>2. Enter the annual gross salary in B3 and your pension contribution percentage in B4.</t>
        </is>
      </c>
    </row>
    <row r="11">
      <c r="A11" s="2" t="inlineStr">
        <is>
          <t>3. If you repay a student loan, look up your plan's annual threshold and percentage on gov.uk</t>
        </is>
      </c>
    </row>
    <row r="12">
      <c r="A12" s="2" t="inlineStr">
        <is>
          <t xml:space="preserve">   and type them into B5 and B6. Leave both at 0 to skip student loan deductions.</t>
        </is>
      </c>
    </row>
    <row r="13">
      <c r="A13" s="2" t="inlineStr">
        <is>
          <t>4. Read the answer in the RESULT block: take home per year, per month and per week.</t>
        </is>
      </c>
    </row>
    <row r="14">
      <c r="A14" s="2" t="inlineStr">
        <is>
          <t>5. Use the Team view tab to do several people at once. Pick a department from the dropdown so</t>
        </is>
      </c>
    </row>
    <row r="15">
      <c r="A15" s="2" t="inlineStr">
        <is>
          <t xml:space="preserve">   the SUMIFS block at the bottom splits the payroll cost by department.</t>
        </is>
      </c>
    </row>
    <row r="16">
      <c r="A16" s="2" t="inlineStr">
        <is>
          <t>6. The Rates tab holds every rate. If HMRC changes a rate, change it there once and every</t>
        </is>
      </c>
    </row>
    <row r="17">
      <c r="A17" s="2" t="inlineStr">
        <is>
          <t xml:space="preserve">   calculation on every tab updates.</t>
        </is>
      </c>
    </row>
    <row r="18">
      <c r="A18" s="2" t="inlineStr"/>
    </row>
    <row r="19">
      <c r="A19" s="3" t="inlineStr">
        <is>
          <t>ASSUMPTIONS</t>
        </is>
      </c>
    </row>
    <row r="20">
      <c r="A20" s="2" t="inlineStr">
        <is>
          <t>Tax year 2026/27. Rest of UK income tax rates: England, Wales and Northern Ireland.</t>
        </is>
      </c>
    </row>
    <row r="21">
      <c r="A21" s="2" t="inlineStr">
        <is>
          <t>Scottish income tax rates are different and are NOT in this workbook.</t>
        </is>
      </c>
    </row>
    <row r="22">
      <c r="A22" s="2" t="inlineStr">
        <is>
          <t>The pension contribution is treated as salary sacrifice, so it comes off gross pay before both</t>
        </is>
      </c>
    </row>
    <row r="23">
      <c r="A23" s="2" t="inlineStr">
        <is>
          <t>income tax and National Insurance are worked out.</t>
        </is>
      </c>
    </row>
    <row r="24">
      <c r="A24" s="2" t="inlineStr">
        <is>
          <t>Personal allowance £12,570, reduced by £1 for every £2 of pay over £100,000, so it is nil at £125,140.</t>
        </is>
      </c>
    </row>
    <row r="25">
      <c r="A25" s="2" t="inlineStr">
        <is>
          <t>Income tax: 20% on the first £37,700 of taxable income, 40% from £37,700 to £125,140, 45% above that.</t>
        </is>
      </c>
    </row>
    <row r="26">
      <c r="A26" s="2" t="inlineStr">
        <is>
          <t>Employee National Insurance: 8% between £12,570 and £50,270, then 2% above £50,270.</t>
        </is>
      </c>
    </row>
    <row r="27">
      <c r="A27" s="2" t="inlineStr">
        <is>
          <t>Student loan thresholds and rates are user supplied. Nothing is built in, because the plan</t>
        </is>
      </c>
    </row>
    <row r="28">
      <c r="A28" s="2" t="inlineStr">
        <is>
          <t>thresholds are not in the rate set this workbook was built from. Check gov.uk for your plan.</t>
        </is>
      </c>
    </row>
    <row r="29">
      <c r="A29" s="2" t="inlineStr">
        <is>
          <t>One salary, one job, one full tax year. No benefits in kind, no tax code adjustments, no bonuses</t>
        </is>
      </c>
    </row>
    <row r="30">
      <c r="A30" s="2" t="inlineStr">
        <is>
          <t>taxed in a single month, no employer National Insurance, no Scottish rates, no married couple's</t>
        </is>
      </c>
    </row>
    <row r="31">
      <c r="A31" s="2" t="inlineStr">
        <is>
          <t>or blind person's allowance. It is a planning tool, not a payslip.</t>
        </is>
      </c>
    </row>
    <row r="32">
      <c r="A32" s="2" t="inlineStr"/>
    </row>
    <row r="33">
      <c r="A33" s="3" t="inlineStr">
        <is>
          <t>RATES LAST CHECKED</t>
        </is>
      </c>
    </row>
    <row r="34">
      <c r="A34" s="2" t="inlineStr">
        <is>
          <t>Rates last checked: 15 July 2026. Re-check every April when the new tax year starts.</t>
        </is>
      </c>
    </row>
    <row r="35">
      <c r="A35" s="2" t="inlineStr"/>
    </row>
    <row r="36">
      <c r="A36" s="3" t="inlineStr">
        <is>
          <t>BUILT BY DIGITAL ADAPTION</t>
        </is>
      </c>
    </row>
    <row r="37">
      <c r="A37" s="2" t="inlineStr">
        <is>
          <t>Built by Digital Adaption. Free tool page, with the same calculator in your browser:</t>
        </is>
      </c>
    </row>
    <row r="38">
      <c r="A38" s="2" t="inlineStr">
        <is>
          <t>https://digitaladaption.co.uk/tools/take-home-pay-calculator/</t>
        </is>
      </c>
    </row>
    <row r="39">
      <c r="A39" s="2" t="inlineStr">
        <is>
          <t>We build custom calculators, workbooks and internal tools for UK businesses.</t>
        </is>
      </c>
    </row>
    <row r="40">
      <c r="A40" s="2" t="inlineStr">
        <is>
          <t>Get in touch: https://digitaladaption.co.uk/contact/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70" customWidth="1" min="3" max="3"/>
  </cols>
  <sheetData>
    <row r="1">
      <c r="A1" s="4" t="inlineStr">
        <is>
          <t>Rate</t>
        </is>
      </c>
      <c r="B1" s="4" t="inlineStr">
        <is>
          <t>Value</t>
        </is>
      </c>
      <c r="C1" s="4" t="inlineStr">
        <is>
          <t>Notes</t>
        </is>
      </c>
    </row>
    <row r="2">
      <c r="A2" s="5" t="inlineStr">
        <is>
          <t>Personal allowance</t>
        </is>
      </c>
      <c r="B2" s="6" t="n">
        <v>12570</v>
      </c>
      <c r="C2" s="5" t="inlineStr">
        <is>
          <t>Standard allowance for 2026/27</t>
        </is>
      </c>
    </row>
    <row r="3">
      <c r="A3" s="5" t="inlineStr">
        <is>
          <t>Personal allowance taper start</t>
        </is>
      </c>
      <c r="B3" s="6" t="n">
        <v>100000</v>
      </c>
      <c r="C3" s="5" t="inlineStr">
        <is>
          <t>£1 of allowance lost for every £2 of pay above this</t>
        </is>
      </c>
    </row>
    <row r="4">
      <c r="A4" s="5" t="inlineStr">
        <is>
          <t>Basic rate</t>
        </is>
      </c>
      <c r="B4" s="7" t="n">
        <v>0.2</v>
      </c>
      <c r="C4" s="5" t="inlineStr">
        <is>
          <t>Income tax on the first slice of taxable income</t>
        </is>
      </c>
    </row>
    <row r="5">
      <c r="A5" s="5" t="inlineStr">
        <is>
          <t>Basic rate band top (total income)</t>
        </is>
      </c>
      <c r="B5" s="6" t="n">
        <v>50270</v>
      </c>
      <c r="C5" s="5" t="inlineStr">
        <is>
          <t>Salary level where higher rate starts on a full allowance</t>
        </is>
      </c>
    </row>
    <row r="6">
      <c r="A6" s="5" t="inlineStr">
        <is>
          <t>Basic rate band width (taxable income)</t>
        </is>
      </c>
      <c r="B6" s="6">
        <f>B5-B2</f>
        <v/>
      </c>
      <c r="C6" s="5" t="inlineStr">
        <is>
          <t>Formula: band top less the personal allowance</t>
        </is>
      </c>
    </row>
    <row r="7">
      <c r="A7" s="5" t="inlineStr">
        <is>
          <t>Higher rate</t>
        </is>
      </c>
      <c r="B7" s="7" t="n">
        <v>0.4</v>
      </c>
      <c r="C7" s="5" t="inlineStr">
        <is>
          <t>Income tax between the basic band and the higher rate limit</t>
        </is>
      </c>
    </row>
    <row r="8">
      <c r="A8" s="5" t="inlineStr">
        <is>
          <t>Higher rate limit (taxable income)</t>
        </is>
      </c>
      <c r="B8" s="6" t="n">
        <v>125140</v>
      </c>
      <c r="C8" s="5" t="inlineStr">
        <is>
          <t>Taxable income above this is taxed at the additional rate</t>
        </is>
      </c>
    </row>
    <row r="9">
      <c r="A9" s="5" t="inlineStr">
        <is>
          <t>Additional rate</t>
        </is>
      </c>
      <c r="B9" s="7" t="n">
        <v>0.45</v>
      </c>
      <c r="C9" s="5" t="inlineStr">
        <is>
          <t>Income tax on taxable income above the higher rate limit</t>
        </is>
      </c>
    </row>
    <row r="10">
      <c r="A10" s="5" t="inlineStr">
        <is>
          <t>Employee NI main rate</t>
        </is>
      </c>
      <c r="B10" s="7" t="n">
        <v>0.08</v>
      </c>
      <c r="C10" s="5" t="inlineStr">
        <is>
          <t>Class 1 employee National Insurance, main band</t>
        </is>
      </c>
    </row>
    <row r="11">
      <c r="A11" s="5" t="inlineStr">
        <is>
          <t>Employee NI upper rate</t>
        </is>
      </c>
      <c r="B11" s="7" t="n">
        <v>0.02</v>
      </c>
      <c r="C11" s="5" t="inlineStr">
        <is>
          <t>Class 1 employee National Insurance above the upper earnings limit</t>
        </is>
      </c>
    </row>
    <row r="12">
      <c r="A12" s="5" t="inlineStr">
        <is>
          <t>NI primary threshold</t>
        </is>
      </c>
      <c r="B12" s="6" t="n">
        <v>12570</v>
      </c>
      <c r="C12" s="5" t="inlineStr">
        <is>
          <t>Employee National Insurance starts above this</t>
        </is>
      </c>
    </row>
    <row r="13">
      <c r="A13" s="5" t="inlineStr">
        <is>
          <t>NI upper earnings limit</t>
        </is>
      </c>
      <c r="B13" s="6" t="n">
        <v>50270</v>
      </c>
      <c r="C13" s="5" t="inlineStr">
        <is>
          <t>Employee National Insurance drops to the upper rate above this</t>
        </is>
      </c>
    </row>
    <row r="14">
      <c r="A14" s="5" t="inlineStr">
        <is>
          <t>Months in a year</t>
        </is>
      </c>
      <c r="B14" s="6" t="n">
        <v>12</v>
      </c>
      <c r="C14" s="5" t="inlineStr">
        <is>
          <t>Used for the monthly figure</t>
        </is>
      </c>
    </row>
    <row r="15">
      <c r="A15" s="5" t="inlineStr">
        <is>
          <t>Weeks in a year</t>
        </is>
      </c>
      <c r="B15" s="6" t="n">
        <v>52</v>
      </c>
      <c r="C15" s="5" t="inlineStr">
        <is>
          <t>Used for the weekly figure</t>
        </is>
      </c>
    </row>
    <row r="17">
      <c r="A17" s="8" t="inlineStr">
        <is>
          <t>Rates last checked: 15 July 2026. Rest of UK rates (England, Wales, Northern Ireland). Scotland has different income tax rates.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74" customWidth="1" min="3" max="3"/>
  </cols>
  <sheetData>
    <row r="1">
      <c r="A1" s="4" t="inlineStr">
        <is>
          <t>Take home pay calculator (2026/27)</t>
        </is>
      </c>
      <c r="B1" s="4" t="inlineStr">
        <is>
          <t>Value</t>
        </is>
      </c>
      <c r="C1" s="4" t="inlineStr">
        <is>
          <t>How it is worked out</t>
        </is>
      </c>
    </row>
    <row r="2">
      <c r="A2" s="8" t="inlineStr">
        <is>
          <t>YOUR INPUTS (type in the yellow cells)</t>
        </is>
      </c>
    </row>
    <row r="3">
      <c r="A3" s="5" t="inlineStr">
        <is>
          <t>Annual gross salary</t>
        </is>
      </c>
      <c r="B3" s="9" t="n">
        <v>45000</v>
      </c>
      <c r="C3" s="5" t="inlineStr">
        <is>
          <t>Your full salary before anything comes off</t>
        </is>
      </c>
    </row>
    <row r="4">
      <c r="A4" s="5" t="inlineStr">
        <is>
          <t>Pension contribution % (salary sacrifice)</t>
        </is>
      </c>
      <c r="B4" s="10" t="n">
        <v>0.05</v>
      </c>
      <c r="C4" s="5" t="inlineStr">
        <is>
          <t>Your own contribution. Salary sacrifice, so it comes off before tax and NI</t>
        </is>
      </c>
    </row>
    <row r="5">
      <c r="A5" s="5" t="inlineStr">
        <is>
          <t>Student loan annual threshold (you supply)</t>
        </is>
      </c>
      <c r="B5" s="9" t="n">
        <v>0</v>
      </c>
      <c r="C5" s="5" t="inlineStr">
        <is>
          <t>Not built in. Look up your plan on gov.uk and type it here. 0 means no student loan</t>
        </is>
      </c>
    </row>
    <row r="6">
      <c r="A6" s="5" t="inlineStr">
        <is>
          <t>Student loan rate % (you supply)</t>
        </is>
      </c>
      <c r="B6" s="10" t="n">
        <v>0</v>
      </c>
      <c r="C6" s="5" t="inlineStr">
        <is>
          <t>Not built in. Look up your plan on gov.uk and type it here. 0 means no student loan</t>
        </is>
      </c>
    </row>
    <row r="7">
      <c r="A7" t="inlineStr"/>
    </row>
    <row r="8">
      <c r="A8" s="8" t="inlineStr">
        <is>
          <t>THE WORKING</t>
        </is>
      </c>
    </row>
    <row r="9">
      <c r="A9" s="5" t="inlineStr">
        <is>
          <t>Pension contribution</t>
        </is>
      </c>
      <c r="B9" s="11">
        <f>ROUND(B3*B4,2)</f>
        <v/>
      </c>
      <c r="C9" s="5" t="inlineStr">
        <is>
          <t>Gross salary multiplied by your contribution percentage</t>
        </is>
      </c>
    </row>
    <row r="10">
      <c r="A10" s="5" t="inlineStr">
        <is>
          <t>Pay after pension sacrifice</t>
        </is>
      </c>
      <c r="B10" s="11">
        <f>ROUND(B3-B9,2)</f>
        <v/>
      </c>
      <c r="C10" s="5" t="inlineStr">
        <is>
          <t>This is the figure tax and National Insurance are worked out on</t>
        </is>
      </c>
    </row>
    <row r="11">
      <c r="A11" s="5" t="inlineStr">
        <is>
          <t>Personal allowance</t>
        </is>
      </c>
      <c r="B11" s="11">
        <f>ROUND(MAX(0,Rates!$B$2-MAX(0,(B10-Rates!$B$3)/2)),2)</f>
        <v/>
      </c>
      <c r="C11" s="5" t="inlineStr">
        <is>
          <t>Full allowance, less £1 for every £2 of pay over the taper start</t>
        </is>
      </c>
    </row>
    <row r="12">
      <c r="A12" s="5" t="inlineStr">
        <is>
          <t>Taxable income</t>
        </is>
      </c>
      <c r="B12" s="11">
        <f>ROUND(MAX(0,B10-B11),2)</f>
        <v/>
      </c>
      <c r="C12" s="5" t="inlineStr">
        <is>
          <t>Pay after pension, less whatever personal allowance is left</t>
        </is>
      </c>
    </row>
    <row r="13">
      <c r="A13" s="5" t="inlineStr">
        <is>
          <t>Income tax at the basic rate</t>
        </is>
      </c>
      <c r="B13" s="11">
        <f>ROUND(MIN(B12,Rates!$B$6)*Rates!$B$4,2)</f>
        <v/>
      </c>
      <c r="C13" s="5" t="inlineStr">
        <is>
          <t>20% on the first £37,700 of taxable income</t>
        </is>
      </c>
    </row>
    <row r="14">
      <c r="A14" s="5" t="inlineStr">
        <is>
          <t>Income tax at the higher rate</t>
        </is>
      </c>
      <c r="B14" s="11">
        <f>ROUND(MAX(0,MIN(B12,Rates!$B$8)-Rates!$B$6)*Rates!$B$7,2)</f>
        <v/>
      </c>
      <c r="C14" s="5" t="inlineStr">
        <is>
          <t>40% on taxable income between £37,700 and £125,140</t>
        </is>
      </c>
    </row>
    <row r="15">
      <c r="A15" s="5" t="inlineStr">
        <is>
          <t>Income tax at the additional rate</t>
        </is>
      </c>
      <c r="B15" s="11">
        <f>ROUND(MAX(0,B12-Rates!$B$8)*Rates!$B$9,2)</f>
        <v/>
      </c>
      <c r="C15" s="5" t="inlineStr">
        <is>
          <t>45% on taxable income above £125,140</t>
        </is>
      </c>
    </row>
    <row r="16">
      <c r="A16" s="5" t="inlineStr">
        <is>
          <t>Total income tax</t>
        </is>
      </c>
      <c r="B16" s="11">
        <f>ROUND(B13+B14+B15,2)</f>
        <v/>
      </c>
      <c r="C16" s="5" t="inlineStr">
        <is>
          <t>The three tax bands added together</t>
        </is>
      </c>
    </row>
    <row r="17">
      <c r="A17" s="5" t="inlineStr">
        <is>
          <t>Employee National Insurance</t>
        </is>
      </c>
      <c r="B17" s="11">
        <f>ROUND(MAX(0,MIN(B10,Rates!$B$13)-Rates!$B$12)*Rates!$B$10+MAX(0,B10-Rates!$B$13)*Rates!$B$11,2)</f>
        <v/>
      </c>
      <c r="C17" s="5" t="inlineStr">
        <is>
          <t>8% between the primary threshold and the upper earnings limit, then 2%</t>
        </is>
      </c>
    </row>
    <row r="18">
      <c r="A18" s="5" t="inlineStr">
        <is>
          <t>Student loan repayment</t>
        </is>
      </c>
      <c r="B18" s="11">
        <f>ROUND(IF(OR(B5&lt;=0,B6&lt;=0),0,MAX(0,B10-B5)*B6),2)</f>
        <v/>
      </c>
      <c r="C18" s="5" t="inlineStr">
        <is>
          <t>Only calculated if you typed a threshold and a rate above</t>
        </is>
      </c>
    </row>
    <row r="19">
      <c r="A19" s="5" t="inlineStr">
        <is>
          <t>Total deductions</t>
        </is>
      </c>
      <c r="B19" s="11">
        <f>ROUND(B16+B17+B18,2)</f>
        <v/>
      </c>
      <c r="C19" s="5" t="inlineStr">
        <is>
          <t>Income tax plus National Insurance plus student loan</t>
        </is>
      </c>
    </row>
    <row r="20">
      <c r="A20" t="inlineStr"/>
    </row>
    <row r="21">
      <c r="A21" s="8" t="inlineStr">
        <is>
          <t>RESULT</t>
        </is>
      </c>
    </row>
    <row r="22">
      <c r="A22" s="5" t="inlineStr">
        <is>
          <t>Take home pay (year)</t>
        </is>
      </c>
      <c r="B22" s="12">
        <f>ROUND(B10-B19,2)</f>
        <v/>
      </c>
      <c r="C22" s="5" t="inlineStr">
        <is>
          <t>Pay after pension sacrifice, less the total deductions</t>
        </is>
      </c>
    </row>
    <row r="23">
      <c r="A23" s="5" t="inlineStr">
        <is>
          <t>Take home pay (month)</t>
        </is>
      </c>
      <c r="B23" s="12">
        <f>ROUND(B22/Rates!$B$14,2)</f>
        <v/>
      </c>
      <c r="C23" s="5" t="inlineStr">
        <is>
          <t>Annual take home divided by 12</t>
        </is>
      </c>
    </row>
    <row r="24">
      <c r="A24" s="5" t="inlineStr">
        <is>
          <t>Take home pay (week)</t>
        </is>
      </c>
      <c r="B24" s="12">
        <f>ROUND(B22/Rates!$B$15,2)</f>
        <v/>
      </c>
      <c r="C24" s="5" t="inlineStr">
        <is>
          <t>Annual take home divided by 52</t>
        </is>
      </c>
    </row>
    <row r="25">
      <c r="A25" s="5" t="inlineStr">
        <is>
          <t>Deductions as a % of gross salary</t>
        </is>
      </c>
      <c r="B25" s="13">
        <f>IF(B3&lt;=0,0,ROUND(B19/B3,4))</f>
        <v/>
      </c>
      <c r="C25" s="5" t="inlineStr">
        <is>
          <t>Tax, NI and student loan as a share of gross. The pension is not a deduction, it is yours</t>
        </is>
      </c>
    </row>
    <row r="27">
      <c r="A27" s="8" t="inlineStr">
        <is>
          <t>Rates last checked: 15 July 2026. Rest of UK rates only. Scotland has different income tax bands and rates.</t>
        </is>
      </c>
    </row>
    <row r="28">
      <c r="A28" t="inlineStr">
        <is>
          <t>Built by Digital Adaption. https://digitaladaption.co.uk/tools/take-home-pay-calculator/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5" customWidth="1" min="3" max="3"/>
    <col width="11" customWidth="1" min="4" max="4"/>
    <col width="13" customWidth="1" min="5" max="5"/>
    <col width="18" customWidth="1" min="6" max="6"/>
    <col width="18" customWidth="1" min="7" max="7"/>
    <col width="15" customWidth="1" min="8" max="8"/>
    <col width="13" customWidth="1" min="9" max="9"/>
    <col width="13" customWidth="1" min="10" max="10"/>
    <col width="17" customWidth="1" min="11" max="11"/>
    <col width="18" customWidth="1" min="12" max="12"/>
  </cols>
  <sheetData>
    <row r="1">
      <c r="A1" s="14" t="inlineStr">
        <is>
          <t>Employee</t>
        </is>
      </c>
      <c r="B1" s="14" t="inlineStr">
        <is>
          <t>Department</t>
        </is>
      </c>
      <c r="C1" s="14" t="inlineStr">
        <is>
          <t>Annual gross</t>
        </is>
      </c>
      <c r="D1" s="14" t="inlineStr">
        <is>
          <t>Pension %</t>
        </is>
      </c>
      <c r="E1" s="14" t="inlineStr">
        <is>
          <t>Pension</t>
        </is>
      </c>
      <c r="F1" s="14" t="inlineStr">
        <is>
          <t>Pay after pension</t>
        </is>
      </c>
      <c r="G1" s="14" t="inlineStr">
        <is>
          <t>Personal allowance</t>
        </is>
      </c>
      <c r="H1" s="14" t="inlineStr">
        <is>
          <t>Taxable income</t>
        </is>
      </c>
      <c r="I1" s="14" t="inlineStr">
        <is>
          <t>Income tax</t>
        </is>
      </c>
      <c r="J1" s="14" t="inlineStr">
        <is>
          <t>Employee NI</t>
        </is>
      </c>
      <c r="K1" s="14" t="inlineStr">
        <is>
          <t>Take home (year)</t>
        </is>
      </c>
      <c r="L1" s="14" t="inlineStr">
        <is>
          <t>Take home (month)</t>
        </is>
      </c>
    </row>
    <row r="2">
      <c r="A2" s="5" t="inlineStr">
        <is>
          <t>Sam Okafor</t>
        </is>
      </c>
      <c r="B2" s="5" t="inlineStr">
        <is>
          <t>Operations</t>
        </is>
      </c>
      <c r="C2" s="15" t="n">
        <v>28000</v>
      </c>
      <c r="D2" s="16" t="n">
        <v>0.05</v>
      </c>
      <c r="E2" s="11">
        <f>IF($C2="","",ROUND($C2*$D2,2))</f>
        <v/>
      </c>
      <c r="F2" s="11">
        <f>IF($C2="","",ROUND($C2-$E2,2))</f>
        <v/>
      </c>
      <c r="G2" s="11">
        <f>IF($C2="","",ROUND(MAX(0,Rates!$B$2-MAX(0,($F2-Rates!$B$3)/2)),2))</f>
        <v/>
      </c>
      <c r="H2" s="11">
        <f>IF($C2="","",ROUND(MAX(0,$F2-$G2),2))</f>
        <v/>
      </c>
      <c r="I2" s="11">
        <f>IF($C2="","",ROUND(MIN($H2,Rates!$B$6)*Rates!$B$4+MAX(0,MIN($H2,Rates!$B$8)-Rates!$B$6)*Rates!$B$7+MAX(0,$H2-Rates!$B$8)*Rates!$B$9,2))</f>
        <v/>
      </c>
      <c r="J2" s="11">
        <f>IF($C2="","",ROUND(MAX(0,MIN($F2,Rates!$B$13)-Rates!$B$12)*Rates!$B$10+MAX(0,$F2-Rates!$B$13)*Rates!$B$11,2))</f>
        <v/>
      </c>
      <c r="K2" s="11">
        <f>IF($C2="","",ROUND($F2-$I2-$J2,2))</f>
        <v/>
      </c>
      <c r="L2" s="11">
        <f>IF($C2="","",ROUND($K2/Rates!$B$14,2))</f>
        <v/>
      </c>
    </row>
    <row r="3">
      <c r="A3" s="5" t="inlineStr">
        <is>
          <t>Priya Shah</t>
        </is>
      </c>
      <c r="B3" s="5" t="inlineStr">
        <is>
          <t>Finance</t>
        </is>
      </c>
      <c r="C3" s="15" t="n">
        <v>46000</v>
      </c>
      <c r="D3" s="16" t="n">
        <v>0.05</v>
      </c>
      <c r="E3" s="11">
        <f>IF($C3="","",ROUND($C3*$D3,2))</f>
        <v/>
      </c>
      <c r="F3" s="11">
        <f>IF($C3="","",ROUND($C3-$E3,2))</f>
        <v/>
      </c>
      <c r="G3" s="11">
        <f>IF($C3="","",ROUND(MAX(0,Rates!$B$2-MAX(0,($F3-Rates!$B$3)/2)),2))</f>
        <v/>
      </c>
      <c r="H3" s="11">
        <f>IF($C3="","",ROUND(MAX(0,$F3-$G3),2))</f>
        <v/>
      </c>
      <c r="I3" s="11">
        <f>IF($C3="","",ROUND(MIN($H3,Rates!$B$6)*Rates!$B$4+MAX(0,MIN($H3,Rates!$B$8)-Rates!$B$6)*Rates!$B$7+MAX(0,$H3-Rates!$B$8)*Rates!$B$9,2))</f>
        <v/>
      </c>
      <c r="J3" s="11">
        <f>IF($C3="","",ROUND(MAX(0,MIN($F3,Rates!$B$13)-Rates!$B$12)*Rates!$B$10+MAX(0,$F3-Rates!$B$13)*Rates!$B$11,2))</f>
        <v/>
      </c>
      <c r="K3" s="11">
        <f>IF($C3="","",ROUND($F3-$I3-$J3,2))</f>
        <v/>
      </c>
      <c r="L3" s="11">
        <f>IF($C3="","",ROUND($K3/Rates!$B$14,2))</f>
        <v/>
      </c>
    </row>
    <row r="4">
      <c r="A4" s="5" t="inlineStr">
        <is>
          <t>Tom Reilly</t>
        </is>
      </c>
      <c r="B4" s="5" t="inlineStr">
        <is>
          <t>Sales</t>
        </is>
      </c>
      <c r="C4" s="15" t="n">
        <v>62000</v>
      </c>
      <c r="D4" s="16" t="n">
        <v>0.03</v>
      </c>
      <c r="E4" s="11">
        <f>IF($C4="","",ROUND($C4*$D4,2))</f>
        <v/>
      </c>
      <c r="F4" s="11">
        <f>IF($C4="","",ROUND($C4-$E4,2))</f>
        <v/>
      </c>
      <c r="G4" s="11">
        <f>IF($C4="","",ROUND(MAX(0,Rates!$B$2-MAX(0,($F4-Rates!$B$3)/2)),2))</f>
        <v/>
      </c>
      <c r="H4" s="11">
        <f>IF($C4="","",ROUND(MAX(0,$F4-$G4),2))</f>
        <v/>
      </c>
      <c r="I4" s="11">
        <f>IF($C4="","",ROUND(MIN($H4,Rates!$B$6)*Rates!$B$4+MAX(0,MIN($H4,Rates!$B$8)-Rates!$B$6)*Rates!$B$7+MAX(0,$H4-Rates!$B$8)*Rates!$B$9,2))</f>
        <v/>
      </c>
      <c r="J4" s="11">
        <f>IF($C4="","",ROUND(MAX(0,MIN($F4,Rates!$B$13)-Rates!$B$12)*Rates!$B$10+MAX(0,$F4-Rates!$B$13)*Rates!$B$11,2))</f>
        <v/>
      </c>
      <c r="K4" s="11">
        <f>IF($C4="","",ROUND($F4-$I4-$J4,2))</f>
        <v/>
      </c>
      <c r="L4" s="11">
        <f>IF($C4="","",ROUND($K4/Rates!$B$14,2))</f>
        <v/>
      </c>
    </row>
    <row r="5">
      <c r="A5" s="5" t="n"/>
      <c r="B5" s="5" t="n"/>
      <c r="C5" s="15" t="n"/>
      <c r="D5" s="16" t="n"/>
      <c r="E5" s="11">
        <f>IF($C5="","",ROUND($C5*$D5,2))</f>
        <v/>
      </c>
      <c r="F5" s="11">
        <f>IF($C5="","",ROUND($C5-$E5,2))</f>
        <v/>
      </c>
      <c r="G5" s="11">
        <f>IF($C5="","",ROUND(MAX(0,Rates!$B$2-MAX(0,($F5-Rates!$B$3)/2)),2))</f>
        <v/>
      </c>
      <c r="H5" s="11">
        <f>IF($C5="","",ROUND(MAX(0,$F5-$G5),2))</f>
        <v/>
      </c>
      <c r="I5" s="11">
        <f>IF($C5="","",ROUND(MIN($H5,Rates!$B$6)*Rates!$B$4+MAX(0,MIN($H5,Rates!$B$8)-Rates!$B$6)*Rates!$B$7+MAX(0,$H5-Rates!$B$8)*Rates!$B$9,2))</f>
        <v/>
      </c>
      <c r="J5" s="11">
        <f>IF($C5="","",ROUND(MAX(0,MIN($F5,Rates!$B$13)-Rates!$B$12)*Rates!$B$10+MAX(0,$F5-Rates!$B$13)*Rates!$B$11,2))</f>
        <v/>
      </c>
      <c r="K5" s="11">
        <f>IF($C5="","",ROUND($F5-$I5-$J5,2))</f>
        <v/>
      </c>
      <c r="L5" s="11">
        <f>IF($C5="","",ROUND($K5/Rates!$B$14,2))</f>
        <v/>
      </c>
    </row>
    <row r="6">
      <c r="A6" s="5" t="n"/>
      <c r="B6" s="5" t="n"/>
      <c r="C6" s="15" t="n"/>
      <c r="D6" s="16" t="n"/>
      <c r="E6" s="11">
        <f>IF($C6="","",ROUND($C6*$D6,2))</f>
        <v/>
      </c>
      <c r="F6" s="11">
        <f>IF($C6="","",ROUND($C6-$E6,2))</f>
        <v/>
      </c>
      <c r="G6" s="11">
        <f>IF($C6="","",ROUND(MAX(0,Rates!$B$2-MAX(0,($F6-Rates!$B$3)/2)),2))</f>
        <v/>
      </c>
      <c r="H6" s="11">
        <f>IF($C6="","",ROUND(MAX(0,$F6-$G6),2))</f>
        <v/>
      </c>
      <c r="I6" s="11">
        <f>IF($C6="","",ROUND(MIN($H6,Rates!$B$6)*Rates!$B$4+MAX(0,MIN($H6,Rates!$B$8)-Rates!$B$6)*Rates!$B$7+MAX(0,$H6-Rates!$B$8)*Rates!$B$9,2))</f>
        <v/>
      </c>
      <c r="J6" s="11">
        <f>IF($C6="","",ROUND(MAX(0,MIN($F6,Rates!$B$13)-Rates!$B$12)*Rates!$B$10+MAX(0,$F6-Rates!$B$13)*Rates!$B$11,2))</f>
        <v/>
      </c>
      <c r="K6" s="11">
        <f>IF($C6="","",ROUND($F6-$I6-$J6,2))</f>
        <v/>
      </c>
      <c r="L6" s="11">
        <f>IF($C6="","",ROUND($K6/Rates!$B$14,2))</f>
        <v/>
      </c>
    </row>
    <row r="7">
      <c r="A7" s="5" t="n"/>
      <c r="B7" s="5" t="n"/>
      <c r="C7" s="15" t="n"/>
      <c r="D7" s="16" t="n"/>
      <c r="E7" s="11">
        <f>IF($C7="","",ROUND($C7*$D7,2))</f>
        <v/>
      </c>
      <c r="F7" s="11">
        <f>IF($C7="","",ROUND($C7-$E7,2))</f>
        <v/>
      </c>
      <c r="G7" s="11">
        <f>IF($C7="","",ROUND(MAX(0,Rates!$B$2-MAX(0,($F7-Rates!$B$3)/2)),2))</f>
        <v/>
      </c>
      <c r="H7" s="11">
        <f>IF($C7="","",ROUND(MAX(0,$F7-$G7),2))</f>
        <v/>
      </c>
      <c r="I7" s="11">
        <f>IF($C7="","",ROUND(MIN($H7,Rates!$B$6)*Rates!$B$4+MAX(0,MIN($H7,Rates!$B$8)-Rates!$B$6)*Rates!$B$7+MAX(0,$H7-Rates!$B$8)*Rates!$B$9,2))</f>
        <v/>
      </c>
      <c r="J7" s="11">
        <f>IF($C7="","",ROUND(MAX(0,MIN($F7,Rates!$B$13)-Rates!$B$12)*Rates!$B$10+MAX(0,$F7-Rates!$B$13)*Rates!$B$11,2))</f>
        <v/>
      </c>
      <c r="K7" s="11">
        <f>IF($C7="","",ROUND($F7-$I7-$J7,2))</f>
        <v/>
      </c>
      <c r="L7" s="11">
        <f>IF($C7="","",ROUND($K7/Rates!$B$14,2))</f>
        <v/>
      </c>
    </row>
    <row r="8">
      <c r="A8" s="5" t="n"/>
      <c r="B8" s="5" t="n"/>
      <c r="C8" s="15" t="n"/>
      <c r="D8" s="16" t="n"/>
      <c r="E8" s="11">
        <f>IF($C8="","",ROUND($C8*$D8,2))</f>
        <v/>
      </c>
      <c r="F8" s="11">
        <f>IF($C8="","",ROUND($C8-$E8,2))</f>
        <v/>
      </c>
      <c r="G8" s="11">
        <f>IF($C8="","",ROUND(MAX(0,Rates!$B$2-MAX(0,($F8-Rates!$B$3)/2)),2))</f>
        <v/>
      </c>
      <c r="H8" s="11">
        <f>IF($C8="","",ROUND(MAX(0,$F8-$G8),2))</f>
        <v/>
      </c>
      <c r="I8" s="11">
        <f>IF($C8="","",ROUND(MIN($H8,Rates!$B$6)*Rates!$B$4+MAX(0,MIN($H8,Rates!$B$8)-Rates!$B$6)*Rates!$B$7+MAX(0,$H8-Rates!$B$8)*Rates!$B$9,2))</f>
        <v/>
      </c>
      <c r="J8" s="11">
        <f>IF($C8="","",ROUND(MAX(0,MIN($F8,Rates!$B$13)-Rates!$B$12)*Rates!$B$10+MAX(0,$F8-Rates!$B$13)*Rates!$B$11,2))</f>
        <v/>
      </c>
      <c r="K8" s="11">
        <f>IF($C8="","",ROUND($F8-$I8-$J8,2))</f>
        <v/>
      </c>
      <c r="L8" s="11">
        <f>IF($C8="","",ROUND($K8/Rates!$B$14,2))</f>
        <v/>
      </c>
    </row>
    <row r="9">
      <c r="A9" s="5" t="n"/>
      <c r="B9" s="5" t="n"/>
      <c r="C9" s="15" t="n"/>
      <c r="D9" s="16" t="n"/>
      <c r="E9" s="11">
        <f>IF($C9="","",ROUND($C9*$D9,2))</f>
        <v/>
      </c>
      <c r="F9" s="11">
        <f>IF($C9="","",ROUND($C9-$E9,2))</f>
        <v/>
      </c>
      <c r="G9" s="11">
        <f>IF($C9="","",ROUND(MAX(0,Rates!$B$2-MAX(0,($F9-Rates!$B$3)/2)),2))</f>
        <v/>
      </c>
      <c r="H9" s="11">
        <f>IF($C9="","",ROUND(MAX(0,$F9-$G9),2))</f>
        <v/>
      </c>
      <c r="I9" s="11">
        <f>IF($C9="","",ROUND(MIN($H9,Rates!$B$6)*Rates!$B$4+MAX(0,MIN($H9,Rates!$B$8)-Rates!$B$6)*Rates!$B$7+MAX(0,$H9-Rates!$B$8)*Rates!$B$9,2))</f>
        <v/>
      </c>
      <c r="J9" s="11">
        <f>IF($C9="","",ROUND(MAX(0,MIN($F9,Rates!$B$13)-Rates!$B$12)*Rates!$B$10+MAX(0,$F9-Rates!$B$13)*Rates!$B$11,2))</f>
        <v/>
      </c>
      <c r="K9" s="11">
        <f>IF($C9="","",ROUND($F9-$I9-$J9,2))</f>
        <v/>
      </c>
      <c r="L9" s="11">
        <f>IF($C9="","",ROUND($K9/Rates!$B$14,2))</f>
        <v/>
      </c>
    </row>
    <row r="10">
      <c r="A10" s="5" t="n"/>
      <c r="B10" s="5" t="n"/>
      <c r="C10" s="15" t="n"/>
      <c r="D10" s="16" t="n"/>
      <c r="E10" s="11">
        <f>IF($C10="","",ROUND($C10*$D10,2))</f>
        <v/>
      </c>
      <c r="F10" s="11">
        <f>IF($C10="","",ROUND($C10-$E10,2))</f>
        <v/>
      </c>
      <c r="G10" s="11">
        <f>IF($C10="","",ROUND(MAX(0,Rates!$B$2-MAX(0,($F10-Rates!$B$3)/2)),2))</f>
        <v/>
      </c>
      <c r="H10" s="11">
        <f>IF($C10="","",ROUND(MAX(0,$F10-$G10),2))</f>
        <v/>
      </c>
      <c r="I10" s="11">
        <f>IF($C10="","",ROUND(MIN($H10,Rates!$B$6)*Rates!$B$4+MAX(0,MIN($H10,Rates!$B$8)-Rates!$B$6)*Rates!$B$7+MAX(0,$H10-Rates!$B$8)*Rates!$B$9,2))</f>
        <v/>
      </c>
      <c r="J10" s="11">
        <f>IF($C10="","",ROUND(MAX(0,MIN($F10,Rates!$B$13)-Rates!$B$12)*Rates!$B$10+MAX(0,$F10-Rates!$B$13)*Rates!$B$11,2))</f>
        <v/>
      </c>
      <c r="K10" s="11">
        <f>IF($C10="","",ROUND($F10-$I10-$J10,2))</f>
        <v/>
      </c>
      <c r="L10" s="11">
        <f>IF($C10="","",ROUND($K10/Rates!$B$14,2))</f>
        <v/>
      </c>
    </row>
    <row r="11">
      <c r="A11" s="5" t="n"/>
      <c r="B11" s="5" t="n"/>
      <c r="C11" s="15" t="n"/>
      <c r="D11" s="16" t="n"/>
      <c r="E11" s="11">
        <f>IF($C11="","",ROUND($C11*$D11,2))</f>
        <v/>
      </c>
      <c r="F11" s="11">
        <f>IF($C11="","",ROUND($C11-$E11,2))</f>
        <v/>
      </c>
      <c r="G11" s="11">
        <f>IF($C11="","",ROUND(MAX(0,Rates!$B$2-MAX(0,($F11-Rates!$B$3)/2)),2))</f>
        <v/>
      </c>
      <c r="H11" s="11">
        <f>IF($C11="","",ROUND(MAX(0,$F11-$G11),2))</f>
        <v/>
      </c>
      <c r="I11" s="11">
        <f>IF($C11="","",ROUND(MIN($H11,Rates!$B$6)*Rates!$B$4+MAX(0,MIN($H11,Rates!$B$8)-Rates!$B$6)*Rates!$B$7+MAX(0,$H11-Rates!$B$8)*Rates!$B$9,2))</f>
        <v/>
      </c>
      <c r="J11" s="11">
        <f>IF($C11="","",ROUND(MAX(0,MIN($F11,Rates!$B$13)-Rates!$B$12)*Rates!$B$10+MAX(0,$F11-Rates!$B$13)*Rates!$B$11,2))</f>
        <v/>
      </c>
      <c r="K11" s="11">
        <f>IF($C11="","",ROUND($F11-$I11-$J11,2))</f>
        <v/>
      </c>
      <c r="L11" s="11">
        <f>IF($C11="","",ROUND($K11/Rates!$B$14,2))</f>
        <v/>
      </c>
    </row>
    <row r="12">
      <c r="A12" s="5" t="n"/>
      <c r="B12" s="5" t="n"/>
      <c r="C12" s="15" t="n"/>
      <c r="D12" s="16" t="n"/>
      <c r="E12" s="11">
        <f>IF($C12="","",ROUND($C12*$D12,2))</f>
        <v/>
      </c>
      <c r="F12" s="11">
        <f>IF($C12="","",ROUND($C12-$E12,2))</f>
        <v/>
      </c>
      <c r="G12" s="11">
        <f>IF($C12="","",ROUND(MAX(0,Rates!$B$2-MAX(0,($F12-Rates!$B$3)/2)),2))</f>
        <v/>
      </c>
      <c r="H12" s="11">
        <f>IF($C12="","",ROUND(MAX(0,$F12-$G12),2))</f>
        <v/>
      </c>
      <c r="I12" s="11">
        <f>IF($C12="","",ROUND(MIN($H12,Rates!$B$6)*Rates!$B$4+MAX(0,MIN($H12,Rates!$B$8)-Rates!$B$6)*Rates!$B$7+MAX(0,$H12-Rates!$B$8)*Rates!$B$9,2))</f>
        <v/>
      </c>
      <c r="J12" s="11">
        <f>IF($C12="","",ROUND(MAX(0,MIN($F12,Rates!$B$13)-Rates!$B$12)*Rates!$B$10+MAX(0,$F12-Rates!$B$13)*Rates!$B$11,2))</f>
        <v/>
      </c>
      <c r="K12" s="11">
        <f>IF($C12="","",ROUND($F12-$I12-$J12,2))</f>
        <v/>
      </c>
      <c r="L12" s="11">
        <f>IF($C12="","",ROUND($K12/Rates!$B$14,2))</f>
        <v/>
      </c>
    </row>
    <row r="13">
      <c r="A13" s="5" t="n"/>
      <c r="B13" s="5" t="n"/>
      <c r="C13" s="15" t="n"/>
      <c r="D13" s="16" t="n"/>
      <c r="E13" s="11">
        <f>IF($C13="","",ROUND($C13*$D13,2))</f>
        <v/>
      </c>
      <c r="F13" s="11">
        <f>IF($C13="","",ROUND($C13-$E13,2))</f>
        <v/>
      </c>
      <c r="G13" s="11">
        <f>IF($C13="","",ROUND(MAX(0,Rates!$B$2-MAX(0,($F13-Rates!$B$3)/2)),2))</f>
        <v/>
      </c>
      <c r="H13" s="11">
        <f>IF($C13="","",ROUND(MAX(0,$F13-$G13),2))</f>
        <v/>
      </c>
      <c r="I13" s="11">
        <f>IF($C13="","",ROUND(MIN($H13,Rates!$B$6)*Rates!$B$4+MAX(0,MIN($H13,Rates!$B$8)-Rates!$B$6)*Rates!$B$7+MAX(0,$H13-Rates!$B$8)*Rates!$B$9,2))</f>
        <v/>
      </c>
      <c r="J13" s="11">
        <f>IF($C13="","",ROUND(MAX(0,MIN($F13,Rates!$B$13)-Rates!$B$12)*Rates!$B$10+MAX(0,$F13-Rates!$B$13)*Rates!$B$11,2))</f>
        <v/>
      </c>
      <c r="K13" s="11">
        <f>IF($C13="","",ROUND($F13-$I13-$J13,2))</f>
        <v/>
      </c>
      <c r="L13" s="11">
        <f>IF($C13="","",ROUND($K13/Rates!$B$14,2))</f>
        <v/>
      </c>
    </row>
    <row r="15">
      <c r="A15" s="17" t="inlineStr">
        <is>
          <t>TOTAL</t>
        </is>
      </c>
      <c r="B15" s="18" t="n"/>
      <c r="C15" s="19">
        <f>ROUND(SUM(C2:C13),2)</f>
        <v/>
      </c>
      <c r="D15" s="18" t="n"/>
      <c r="E15" s="19">
        <f>ROUND(SUM(E2:E13),2)</f>
        <v/>
      </c>
      <c r="F15" s="19">
        <f>ROUND(SUM(F2:F13),2)</f>
        <v/>
      </c>
      <c r="G15" s="18" t="n"/>
      <c r="H15" s="18" t="n"/>
      <c r="I15" s="19">
        <f>ROUND(SUM(I2:I13),2)</f>
        <v/>
      </c>
      <c r="J15" s="19">
        <f>ROUND(SUM(J2:J13),2)</f>
        <v/>
      </c>
      <c r="K15" s="19">
        <f>ROUND(SUM(K2:K13),2)</f>
        <v/>
      </c>
      <c r="L15" s="19">
        <f>ROUND(SUM(L2:L13),2)</f>
        <v/>
      </c>
    </row>
    <row r="17">
      <c r="A17" s="8" t="inlineStr">
        <is>
          <t>By department</t>
        </is>
      </c>
    </row>
    <row r="18">
      <c r="A18" s="4" t="inlineStr">
        <is>
          <t>Department</t>
        </is>
      </c>
      <c r="B18" s="4" t="inlineStr">
        <is>
          <t>Gross salary</t>
        </is>
      </c>
      <c r="C18" s="4" t="inlineStr">
        <is>
          <t>Take home (year)</t>
        </is>
      </c>
      <c r="D18" s="4" t="inlineStr">
        <is>
          <t>Headcount</t>
        </is>
      </c>
    </row>
    <row r="19">
      <c r="A19" s="5" t="inlineStr">
        <is>
          <t>Operations</t>
        </is>
      </c>
      <c r="B19" s="11">
        <f>SUMIFS($C$2:$C$13,$B$2:$B$13,$A19)</f>
        <v/>
      </c>
      <c r="C19" s="11">
        <f>SUMIFS($K$2:$K$13,$B$2:$B$13,$A19)</f>
        <v/>
      </c>
      <c r="D19" s="20">
        <f>COUNTIFS($B$2:$B$13,$A19)</f>
        <v/>
      </c>
    </row>
    <row r="20">
      <c r="A20" s="5" t="inlineStr">
        <is>
          <t>Finance</t>
        </is>
      </c>
      <c r="B20" s="11">
        <f>SUMIFS($C$2:$C$13,$B$2:$B$13,$A20)</f>
        <v/>
      </c>
      <c r="C20" s="11">
        <f>SUMIFS($K$2:$K$13,$B$2:$B$13,$A20)</f>
        <v/>
      </c>
      <c r="D20" s="20">
        <f>COUNTIFS($B$2:$B$13,$A20)</f>
        <v/>
      </c>
    </row>
    <row r="21">
      <c r="A21" s="5" t="inlineStr">
        <is>
          <t>Sales</t>
        </is>
      </c>
      <c r="B21" s="11">
        <f>SUMIFS($C$2:$C$13,$B$2:$B$13,$A21)</f>
        <v/>
      </c>
      <c r="C21" s="11">
        <f>SUMIFS($K$2:$K$13,$B$2:$B$13,$A21)</f>
        <v/>
      </c>
      <c r="D21" s="20">
        <f>COUNTIFS($B$2:$B$13,$A21)</f>
        <v/>
      </c>
    </row>
    <row r="22">
      <c r="A22" s="5" t="inlineStr">
        <is>
          <t>Production</t>
        </is>
      </c>
      <c r="B22" s="11">
        <f>SUMIFS($C$2:$C$13,$B$2:$B$13,$A22)</f>
        <v/>
      </c>
      <c r="C22" s="11">
        <f>SUMIFS($K$2:$K$13,$B$2:$B$13,$A22)</f>
        <v/>
      </c>
      <c r="D22" s="20">
        <f>COUNTIFS($B$2:$B$13,$A22)</f>
        <v/>
      </c>
    </row>
    <row r="23">
      <c r="A23" s="5" t="inlineStr">
        <is>
          <t>Admin</t>
        </is>
      </c>
      <c r="B23" s="11">
        <f>SUMIFS($C$2:$C$13,$B$2:$B$13,$A23)</f>
        <v/>
      </c>
      <c r="C23" s="11">
        <f>SUMIFS($K$2:$K$13,$B$2:$B$13,$A23)</f>
        <v/>
      </c>
      <c r="D23" s="20">
        <f>COUNTIFS($B$2:$B$13,$A23)</f>
        <v/>
      </c>
    </row>
    <row r="25">
      <c r="A25" s="8" t="inlineStr">
        <is>
          <t>Yellow cells are inputs. Everything else is a formula. Rates live on the Rates tab. Rates last checked: 15 July 2026. Rest of UK rates only.</t>
        </is>
      </c>
    </row>
  </sheetData>
  <dataValidations count="1">
    <dataValidation sqref="B2:B13" showDropDown="0" showInputMessage="0" showErrorMessage="0" allowBlank="1" error="Pick a department from the list" promptTitle="Department" prompt="Pick a department" type="list">
      <formula1>"Operations,Finance,Sales,Production,Admin"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2026-09-22T19:45:02Z</dcterms:created>
  <dcterms:modified xmlns:dcterms="http://purl.org/dc/terms/" xmlns:xsi="http://www.w3.org/2001/XMLSchema-instance" xsi:type="dcterms:W3CDTF">2026-09-22T19:45:02Z</dcterms:modified>
</cp:coreProperties>
</file>